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335" windowHeight="10830" activeTab="0"/>
  </bookViews>
  <sheets>
    <sheet name="Exploitant" sheetId="1" r:id="rId1"/>
  </sheets>
  <definedNames>
    <definedName name="BuiltIn_Criteria___0">"$Comptes.$#REF !$#REF !:$#REF !$#REF !"</definedName>
    <definedName name="BuiltIn_Print_Area___2">'Exploitant'!$A$1:$G$56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XB</author>
  </authors>
  <commentList>
    <comment ref="C6" authorId="0">
      <text>
        <r>
          <rPr>
            <sz val="10"/>
            <rFont val="Arial"/>
            <family val="2"/>
          </rPr>
          <t>.:
ce montant doit correspondre au resultat definitif. Ligne 39</t>
        </r>
      </text>
    </comment>
    <comment ref="C14" authorId="0">
      <text>
        <r>
          <rPr>
            <sz val="10"/>
            <rFont val="Arial"/>
            <family val="2"/>
          </rPr>
          <t>Uniquement
Artiants /
Commerçants</t>
        </r>
      </text>
    </comment>
  </commentList>
</comments>
</file>

<file path=xl/sharedStrings.xml><?xml version="1.0" encoding="utf-8"?>
<sst xmlns="http://schemas.openxmlformats.org/spreadsheetml/2006/main" count="69" uniqueCount="69">
  <si>
    <t>RESULTAT Provisoire</t>
  </si>
  <si>
    <t>200h * SMIC</t>
  </si>
  <si>
    <t>Salaires déjà prélevé</t>
  </si>
  <si>
    <t>Dont loi MADELIN</t>
  </si>
  <si>
    <t>PASS</t>
  </si>
  <si>
    <t>Résultat de base</t>
  </si>
  <si>
    <t>PASS N-1</t>
  </si>
  <si>
    <t>ALLOC Oct N-1</t>
  </si>
  <si>
    <t>RESULTAT ESTIME :</t>
  </si>
  <si>
    <t>Plafond Madelin</t>
  </si>
  <si>
    <t>Plafond retraite</t>
  </si>
  <si>
    <t>URSSAF :</t>
  </si>
  <si>
    <t>Si Revenu &gt; Alloc Oct N-1</t>
  </si>
  <si>
    <t>Alloc Fam</t>
  </si>
  <si>
    <t>Plafond Prevoyance</t>
  </si>
  <si>
    <t>Plafond  : 1 PASS de N-1</t>
  </si>
  <si>
    <t>Formation Prof.</t>
  </si>
  <si>
    <t>Plafond chomage</t>
  </si>
  <si>
    <t>Cotisation déjà émise : (voir bordereau )</t>
  </si>
  <si>
    <t>Montant à régulariser :</t>
  </si>
  <si>
    <t>RAM :</t>
  </si>
  <si>
    <t xml:space="preserve">Plancher : 0.40  - Plafond : 1 PASS </t>
  </si>
  <si>
    <t>Maladie</t>
  </si>
  <si>
    <t>AN 1</t>
  </si>
  <si>
    <t>AN 2</t>
  </si>
  <si>
    <t xml:space="preserve">Plancher : 0.40  - Plafond : 1 PASS </t>
  </si>
  <si>
    <t>Maladie</t>
  </si>
  <si>
    <t xml:space="preserve">Plancher : 0.40  - Plafond : 5 PASS </t>
  </si>
  <si>
    <t>IJSS</t>
  </si>
  <si>
    <t>Cotisation déjà émise :( voir bordereau)</t>
  </si>
  <si>
    <t>Ne pas tenir compte du cut-off il sera pris en compte par la régularisation</t>
  </si>
  <si>
    <t>Montant à régulariser :</t>
  </si>
  <si>
    <t>ORGANIC</t>
  </si>
  <si>
    <t xml:space="preserve">Plancher : 200 SMIC - Plafond : 1 PASS </t>
  </si>
  <si>
    <t>Retraite Base</t>
  </si>
  <si>
    <t xml:space="preserve">Plancher : 200 SMIC - Plafond : 3 PASS </t>
  </si>
  <si>
    <t>Retraite Compl.</t>
  </si>
  <si>
    <t>Pas d'ajustement</t>
  </si>
  <si>
    <t xml:space="preserve">Plancher : 200 SMIC - Plafond : 1 PASS </t>
  </si>
  <si>
    <t>Décés</t>
  </si>
  <si>
    <t>Pas d'ajustement</t>
  </si>
  <si>
    <t>Cotisation déjà émise : (voir bordereau)</t>
  </si>
  <si>
    <t>Dt Retraite Base</t>
  </si>
  <si>
    <t>Montant à régulariser :</t>
  </si>
  <si>
    <t>Pas de Remboursement des Retraites si liquidation</t>
  </si>
  <si>
    <t>CSG DEDUCTIBLE :</t>
  </si>
  <si>
    <t>Cotisation déjà émise :</t>
  </si>
  <si>
    <t>Montant à régulariser :</t>
  </si>
  <si>
    <t>Montant à régulariser :</t>
  </si>
  <si>
    <t xml:space="preserve">TOTAL Impact fiscal des COTISATIONS A REGULARISER </t>
  </si>
  <si>
    <t>CSG NON DEDUCTIBLE :</t>
  </si>
  <si>
    <t>Cotisation déjà émise :</t>
  </si>
  <si>
    <t>Montant à régulariser :</t>
  </si>
  <si>
    <t>Montant à régulariser :</t>
  </si>
  <si>
    <t>RESULTAT DEFINITIF (avant salaires) :</t>
  </si>
  <si>
    <t>RESULTAT DEFINITIF (après salaires) :</t>
  </si>
  <si>
    <t>Soldes Comptable</t>
  </si>
  <si>
    <t>Avant calcul</t>
  </si>
  <si>
    <t>Aprés Calcul</t>
  </si>
  <si>
    <t>Débit</t>
  </si>
  <si>
    <t>Crédit</t>
  </si>
  <si>
    <t>URSSAF</t>
  </si>
  <si>
    <t>RAM</t>
  </si>
  <si>
    <t>ORGANIC</t>
  </si>
  <si>
    <t xml:space="preserve">LOI MADELIN </t>
  </si>
  <si>
    <t xml:space="preserve">Total hors CSG </t>
  </si>
  <si>
    <t>CSG DEDUCTIB</t>
  </si>
  <si>
    <t>CSG NON DEDUCTIB</t>
  </si>
  <si>
    <t>TOTAL Ajustement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</si>
</sst>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#,##0&quot;    &quot;;-#,##0&quot;    &quot;;&quot; -&quot;#&quot;    &quot;"/>
    <numFmt numFmtId="166" formatCode="#,##0"/>
    <numFmt numFmtId="167" formatCode="#,##0;[RED]-#,##0"/>
    <numFmt numFmtId="168" formatCode="0.00%"/>
    <numFmt numFmtId="169" formatCode="#,##0.00"/>
    <numFmt numFmtId="170" formatCode="#,##0&quot;   &quot;;[RED]-#,##0&quot;   &quot;"/>
  </numFmts>
  <fonts count="10">
    <font>
      <sz val="10"/>
      <name val="Arial"/>
      <family val="2"/>
    </font>
    <font>
      <sz val="10"/>
      <color indexed="8"/>
      <name val="Geneva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 applyFill="0">
      <alignment/>
      <protection/>
    </xf>
    <xf numFmtId="164" fontId="1" fillId="0" borderId="0" applyFill="0">
      <alignment/>
      <protection/>
    </xf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3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4" fontId="3" fillId="4" borderId="0" xfId="0" applyNumberFormat="1" applyFont="1" applyFill="1" applyBorder="1" applyAlignment="1" applyProtection="1">
      <alignment/>
      <protection hidden="1"/>
    </xf>
    <xf numFmtId="165" fontId="3" fillId="4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6" fontId="3" fillId="5" borderId="0" xfId="0" applyNumberFormat="1" applyFont="1" applyFill="1" applyBorder="1" applyAlignment="1" applyProtection="1">
      <alignment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166" fontId="4" fillId="0" borderId="0" xfId="0" applyNumberFormat="1" applyFont="1" applyBorder="1" applyAlignment="1" applyProtection="1">
      <alignment/>
      <protection hidden="1"/>
    </xf>
    <xf numFmtId="167" fontId="0" fillId="4" borderId="0" xfId="0" applyNumberFormat="1" applyFill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68" fontId="2" fillId="3" borderId="0" xfId="0" applyNumberFormat="1" applyFont="1" applyFill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 hidden="1"/>
    </xf>
    <xf numFmtId="166" fontId="2" fillId="4" borderId="0" xfId="0" applyNumberFormat="1" applyFont="1" applyFill="1" applyBorder="1" applyAlignment="1" applyProtection="1">
      <alignment/>
      <protection hidden="1"/>
    </xf>
    <xf numFmtId="169" fontId="2" fillId="0" borderId="0" xfId="0" applyNumberFormat="1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/>
      <protection hidden="1"/>
    </xf>
    <xf numFmtId="166" fontId="2" fillId="2" borderId="0" xfId="0" applyNumberFormat="1" applyFont="1" applyFill="1" applyBorder="1" applyAlignment="1" applyProtection="1">
      <alignment/>
      <protection locked="0"/>
    </xf>
    <xf numFmtId="164" fontId="5" fillId="4" borderId="0" xfId="0" applyNumberFormat="1" applyFont="1" applyFill="1" applyBorder="1" applyAlignment="1" applyProtection="1">
      <alignment/>
      <protection hidden="1"/>
    </xf>
    <xf numFmtId="164" fontId="2" fillId="4" borderId="0" xfId="0" applyNumberFormat="1" applyFont="1" applyFill="1" applyBorder="1" applyAlignment="1" applyProtection="1">
      <alignment/>
      <protection hidden="1"/>
    </xf>
    <xf numFmtId="166" fontId="3" fillId="4" borderId="0" xfId="0" applyNumberFormat="1" applyFont="1" applyFill="1" applyBorder="1" applyAlignment="1" applyProtection="1">
      <alignment/>
      <protection hidden="1"/>
    </xf>
    <xf numFmtId="169" fontId="2" fillId="0" borderId="0" xfId="0" applyNumberFormat="1" applyFont="1" applyBorder="1" applyAlignment="1" applyProtection="1">
      <alignment/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166" fontId="7" fillId="4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8" fillId="4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>
      <alignment/>
    </xf>
    <xf numFmtId="165" fontId="8" fillId="4" borderId="0" xfId="0" applyNumberFormat="1" applyFont="1" applyFill="1" applyBorder="1" applyAlignment="1" applyProtection="1">
      <alignment/>
      <protection hidden="1"/>
    </xf>
    <xf numFmtId="164" fontId="3" fillId="4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6" fontId="2" fillId="4" borderId="0" xfId="0" applyNumberFormat="1" applyFont="1" applyFill="1" applyBorder="1" applyAlignment="1" applyProtection="1">
      <alignment/>
      <protection locked="0"/>
    </xf>
    <xf numFmtId="166" fontId="3" fillId="4" borderId="0" xfId="0" applyNumberFormat="1" applyFont="1" applyFill="1" applyBorder="1" applyAlignment="1" applyProtection="1">
      <alignment/>
      <protection hidden="1"/>
    </xf>
    <xf numFmtId="164" fontId="0" fillId="6" borderId="0" xfId="0" applyFill="1" applyAlignment="1">
      <alignment/>
    </xf>
    <xf numFmtId="170" fontId="3" fillId="4" borderId="0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g4   Charges sociales Exploitant PAP PT 03-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32.421875" style="2" customWidth="1"/>
    <col min="3" max="3" width="13.28125" style="2" customWidth="1"/>
    <col min="4" max="4" width="15.421875" style="2" customWidth="1"/>
    <col min="5" max="5" width="12.8515625" style="2" customWidth="1"/>
    <col min="6" max="6" width="13.7109375" style="2" customWidth="1"/>
    <col min="7" max="256" width="10.57421875" style="1" customWidth="1"/>
  </cols>
  <sheetData>
    <row r="1" spans="1:7" s="1" customFormat="1" ht="12.75">
      <c r="A1" s="3" t="s">
        <v>0</v>
      </c>
      <c r="B1" s="2"/>
      <c r="C1" s="4">
        <v>-33556</v>
      </c>
      <c r="D1" s="1"/>
      <c r="E1" s="1" t="s">
        <v>1</v>
      </c>
      <c r="F1" s="5">
        <f>200*7.19</f>
        <v>1438</v>
      </c>
      <c r="G1" s="2"/>
    </row>
    <row r="2" spans="1:7" s="1" customFormat="1" ht="12.75">
      <c r="A2" s="6" t="s">
        <v>2</v>
      </c>
      <c r="B2" s="2"/>
      <c r="C2" s="4">
        <v>0</v>
      </c>
      <c r="F2" s="5"/>
      <c r="G2" s="2"/>
    </row>
    <row r="3" spans="1:7" s="1" customFormat="1" ht="12.75">
      <c r="A3" s="6" t="s">
        <v>3</v>
      </c>
      <c r="B3" s="2"/>
      <c r="C3" s="4">
        <v>0</v>
      </c>
      <c r="D3" s="1"/>
      <c r="E3" s="7" t="s">
        <v>4</v>
      </c>
      <c r="F3" s="5">
        <f>29712</f>
        <v>29712</v>
      </c>
      <c r="G3" s="2"/>
    </row>
    <row r="4" spans="1:7" s="1" customFormat="1" ht="12.75">
      <c r="A4" s="3"/>
      <c r="B4" s="8" t="s">
        <v>5</v>
      </c>
      <c r="C4" s="9">
        <f>SUM(C1:C3)</f>
        <v>-33556</v>
      </c>
      <c r="D4" s="1"/>
      <c r="E4" s="7" t="s">
        <v>6</v>
      </c>
      <c r="F4" s="5">
        <v>29184</v>
      </c>
      <c r="G4" s="2"/>
    </row>
    <row r="5" spans="1:7" s="1" customFormat="1" ht="12.75">
      <c r="A5" s="2"/>
      <c r="B5" s="2"/>
      <c r="C5" s="10"/>
      <c r="D5" s="2"/>
      <c r="E5" s="7" t="s">
        <v>7</v>
      </c>
      <c r="F5" s="5">
        <f>4104</f>
        <v>4104</v>
      </c>
      <c r="G5" s="2"/>
    </row>
    <row r="6" spans="1:7" s="1" customFormat="1" ht="12.75">
      <c r="A6" s="3" t="s">
        <v>8</v>
      </c>
      <c r="B6" s="2"/>
      <c r="C6" s="11">
        <f>E35+E33</f>
        <v>-31570.977000000003</v>
      </c>
      <c r="D6" s="2"/>
      <c r="E6" s="2"/>
      <c r="F6" s="2"/>
      <c r="G6" s="12" t="s">
        <v>9</v>
      </c>
    </row>
    <row r="7" spans="1:9" s="1" customFormat="1" ht="12.75">
      <c r="A7" s="2"/>
      <c r="B7" s="2"/>
      <c r="C7" s="2"/>
      <c r="D7" s="2"/>
      <c r="E7" s="2"/>
      <c r="F7" s="2"/>
      <c r="G7" s="2" t="s">
        <v>10</v>
      </c>
      <c r="H7" s="13"/>
      <c r="I7" s="14">
        <f>MAX(MIN(F3*8,C6)*10%+MIN(8*F3,MAX(0,C6-F3))*15%,F3*10%)</f>
        <v>2971.2000000000003</v>
      </c>
    </row>
    <row r="8" spans="1:9" s="1" customFormat="1" ht="12.75">
      <c r="A8" s="15" t="s">
        <v>11</v>
      </c>
      <c r="B8" s="2" t="s">
        <v>12</v>
      </c>
      <c r="C8" s="16">
        <v>0.054</v>
      </c>
      <c r="D8" s="17" t="s">
        <v>13</v>
      </c>
      <c r="E8" s="18">
        <f>IF(C6&gt;F5,C6*C8,0)</f>
        <v>0</v>
      </c>
      <c r="F8" s="2"/>
      <c r="G8" s="2" t="s">
        <v>14</v>
      </c>
      <c r="H8" s="13"/>
      <c r="I8" s="14">
        <f>MIN((7%*F3+3.75%*C6),3%*8*F3)</f>
        <v>895.9283625</v>
      </c>
    </row>
    <row r="9" spans="1:9" s="1" customFormat="1" ht="12.75">
      <c r="A9" s="15"/>
      <c r="B9" s="19" t="s">
        <v>15</v>
      </c>
      <c r="C9" s="16">
        <v>0.0024</v>
      </c>
      <c r="D9" s="17" t="s">
        <v>16</v>
      </c>
      <c r="E9" s="18">
        <f>MIN(MAX(0,C6),(F4))*C9</f>
        <v>0</v>
      </c>
      <c r="F9" s="2"/>
      <c r="G9" s="2" t="s">
        <v>17</v>
      </c>
      <c r="H9" s="13"/>
      <c r="I9" s="14">
        <f>MAX(1.875%*MIN(C6,8*F3),2.5%*F3)</f>
        <v>742.8000000000001</v>
      </c>
    </row>
    <row r="10" spans="1:7" s="1" customFormat="1" ht="12.75">
      <c r="A10" s="20" t="s">
        <v>18</v>
      </c>
      <c r="B10" s="2"/>
      <c r="C10" s="2"/>
      <c r="D10" s="2"/>
      <c r="E10" s="21">
        <v>111</v>
      </c>
      <c r="F10" s="2"/>
      <c r="G10" s="2"/>
    </row>
    <row r="11" spans="1:7" s="1" customFormat="1" ht="12.75">
      <c r="A11" s="2"/>
      <c r="C11" s="22" t="s">
        <v>19</v>
      </c>
      <c r="D11" s="23"/>
      <c r="E11" s="24">
        <f>E8+E9-E10</f>
        <v>-111</v>
      </c>
      <c r="F11" s="2"/>
      <c r="G11" s="2"/>
    </row>
    <row r="12" spans="1:7" s="1" customFormat="1" ht="12.75">
      <c r="A12" s="2"/>
      <c r="B12" s="15"/>
      <c r="C12" s="2"/>
      <c r="D12" s="2"/>
      <c r="E12" s="25"/>
      <c r="F12" s="26"/>
      <c r="G12" s="26"/>
    </row>
    <row r="13" spans="1:7" s="1" customFormat="1" ht="12.75">
      <c r="A13" s="15" t="s">
        <v>20</v>
      </c>
      <c r="B13" s="19" t="s">
        <v>21</v>
      </c>
      <c r="C13" s="16">
        <v>0.059000000000000004</v>
      </c>
      <c r="D13" s="2" t="s">
        <v>22</v>
      </c>
      <c r="E13" s="18">
        <f>MAX(MIN(F3,MAX(0,C6)),(0.4*F3))*C13</f>
        <v>701.2032000000002</v>
      </c>
      <c r="F13" s="26" t="s">
        <v>23</v>
      </c>
      <c r="G13" s="26" t="s">
        <v>24</v>
      </c>
    </row>
    <row r="14" spans="1:7" s="1" customFormat="1" ht="12.75">
      <c r="A14" s="15"/>
      <c r="B14" s="19" t="s">
        <v>25</v>
      </c>
      <c r="C14" s="16">
        <v>0.006</v>
      </c>
      <c r="D14" s="2" t="s">
        <v>26</v>
      </c>
      <c r="E14" s="18">
        <f>MAX(MIN(F3,MAX(0,C6)),(0.4*F3))*C14</f>
        <v>71.3088</v>
      </c>
      <c r="F14" s="27">
        <f>MAX(MIN(1/3*F3,MAX(0,C6)),(0.4*F3))*C14</f>
        <v>71.3088</v>
      </c>
      <c r="G14" s="27">
        <f>MAX(MIN(1/2*F3,MAX(0,C6)),(0.4*F3))*C14</f>
        <v>71.3088</v>
      </c>
    </row>
    <row r="15" spans="1:7" s="1" customFormat="1" ht="12.75">
      <c r="A15" s="15"/>
      <c r="B15" s="19" t="s">
        <v>27</v>
      </c>
      <c r="C15" s="16">
        <v>0.005</v>
      </c>
      <c r="D15" s="2" t="s">
        <v>28</v>
      </c>
      <c r="E15" s="18">
        <f>MAX(MIN(5*F3,MAX(0,C6)),(0.4*F3))*C15</f>
        <v>59.42400000000001</v>
      </c>
      <c r="F15" s="2"/>
      <c r="G15" s="2"/>
    </row>
    <row r="16" spans="1:7" s="1" customFormat="1" ht="13.5">
      <c r="A16" s="20" t="s">
        <v>29</v>
      </c>
      <c r="B16" s="2"/>
      <c r="C16" s="2"/>
      <c r="D16" s="2"/>
      <c r="E16" s="21">
        <v>996</v>
      </c>
      <c r="F16" s="2" t="s">
        <v>30</v>
      </c>
      <c r="G16" s="2"/>
    </row>
    <row r="17" spans="1:7" s="1" customFormat="1" ht="12.75">
      <c r="A17" s="2"/>
      <c r="C17" s="22" t="s">
        <v>31</v>
      </c>
      <c r="D17" s="23"/>
      <c r="E17" s="24">
        <f>(E13+E14+E15)-E16</f>
        <v>-164.06399999999985</v>
      </c>
      <c r="F17" s="2"/>
      <c r="G17" s="2"/>
    </row>
    <row r="18" spans="1:5" s="1" customFormat="1" ht="12.75">
      <c r="A18" s="2"/>
      <c r="B18" s="15"/>
      <c r="C18" s="2"/>
      <c r="D18" s="2"/>
      <c r="E18" s="28"/>
    </row>
    <row r="19" spans="1:12" s="1" customFormat="1" ht="12.75">
      <c r="A19" s="15" t="s">
        <v>32</v>
      </c>
      <c r="B19" s="19" t="s">
        <v>33</v>
      </c>
      <c r="C19" s="16">
        <v>0.1645</v>
      </c>
      <c r="D19" s="2" t="s">
        <v>34</v>
      </c>
      <c r="E19" s="18">
        <f>MAX(MIN(F3,MAX(0,C6)),(F1))*C19</f>
        <v>236.55100000000002</v>
      </c>
      <c r="G19" s="2"/>
      <c r="L19" s="10"/>
    </row>
    <row r="20" spans="1:12" s="1" customFormat="1" ht="12.75">
      <c r="A20" s="15"/>
      <c r="B20" s="19" t="s">
        <v>35</v>
      </c>
      <c r="C20" s="16">
        <v>0.08</v>
      </c>
      <c r="D20" s="2" t="s">
        <v>36</v>
      </c>
      <c r="E20" s="29">
        <f>MAX(MIN(3*F3,MAX(0,C6)),(F1))*C20</f>
        <v>115.04</v>
      </c>
      <c r="F20" s="30" t="s">
        <v>37</v>
      </c>
      <c r="L20" s="10"/>
    </row>
    <row r="21" spans="1:12" s="1" customFormat="1" ht="12.75">
      <c r="A21" s="15"/>
      <c r="B21" s="19" t="s">
        <v>38</v>
      </c>
      <c r="C21" s="16">
        <v>0.015</v>
      </c>
      <c r="D21" s="2" t="s">
        <v>39</v>
      </c>
      <c r="E21" s="29">
        <f>MAX(MIN(F3,MAX(0,C6)),(F1))*C21</f>
        <v>21.57</v>
      </c>
      <c r="F21" s="30" t="s">
        <v>40</v>
      </c>
      <c r="L21" s="10"/>
    </row>
    <row r="22" spans="1:12" s="1" customFormat="1" ht="12.75">
      <c r="A22" s="20" t="s">
        <v>41</v>
      </c>
      <c r="B22" s="15"/>
      <c r="C22" s="21">
        <v>2441</v>
      </c>
      <c r="D22" s="2" t="s">
        <v>42</v>
      </c>
      <c r="E22" s="21">
        <f>333.51+754.5+754.5</f>
        <v>1842.51</v>
      </c>
      <c r="F22" s="2"/>
      <c r="G22" s="2"/>
      <c r="L22" s="10"/>
    </row>
    <row r="23" spans="1:12" s="1" customFormat="1" ht="12.75">
      <c r="A23" s="2"/>
      <c r="B23" s="15"/>
      <c r="C23" s="22" t="s">
        <v>43</v>
      </c>
      <c r="D23" s="23"/>
      <c r="E23" s="24">
        <f>(E19-E22)</f>
        <v>-1605.959</v>
      </c>
      <c r="F23" s="2" t="s">
        <v>44</v>
      </c>
      <c r="G23" s="2"/>
      <c r="L23" s="10"/>
    </row>
    <row r="24" spans="1:7" s="1" customFormat="1" ht="12.75">
      <c r="A24" s="2"/>
      <c r="B24" s="2"/>
      <c r="C24" s="2"/>
      <c r="D24" s="2"/>
      <c r="E24" s="10"/>
      <c r="F24" s="2"/>
      <c r="G24" s="2"/>
    </row>
    <row r="25" spans="1:7" s="1" customFormat="1" ht="12.75">
      <c r="A25" s="15" t="s">
        <v>45</v>
      </c>
      <c r="B25" s="2"/>
      <c r="C25" s="16">
        <v>0.051000000000000004</v>
      </c>
      <c r="D25" s="2"/>
      <c r="E25" s="18">
        <f>MAX(0,(C6+E11+E17+E23+C39+C40+C41))*C25</f>
        <v>0</v>
      </c>
      <c r="F25" s="10"/>
      <c r="G25" s="2"/>
    </row>
    <row r="26" spans="1:7" s="1" customFormat="1" ht="12.75">
      <c r="A26" s="20" t="s">
        <v>46</v>
      </c>
      <c r="B26" s="2"/>
      <c r="C26" s="2"/>
      <c r="D26" s="2"/>
      <c r="E26" s="21">
        <v>104</v>
      </c>
      <c r="F26" s="2"/>
      <c r="G26" s="2"/>
    </row>
    <row r="27" spans="1:7" s="1" customFormat="1" ht="12.75">
      <c r="A27" s="2"/>
      <c r="B27" s="15" t="s">
        <v>47</v>
      </c>
      <c r="C27" s="22" t="s">
        <v>48</v>
      </c>
      <c r="D27" s="23"/>
      <c r="E27" s="24">
        <f>E25-E26</f>
        <v>-104</v>
      </c>
      <c r="F27" s="2"/>
      <c r="G27" s="10"/>
    </row>
    <row r="28" spans="1:8" s="1" customFormat="1" ht="12.75">
      <c r="A28" s="2"/>
      <c r="B28" s="2"/>
      <c r="C28" s="2"/>
      <c r="D28" s="2"/>
      <c r="E28" s="2"/>
      <c r="F28" s="2"/>
      <c r="G28" s="2"/>
      <c r="H28" s="13"/>
    </row>
    <row r="29" spans="1:8" s="1" customFormat="1" ht="18" customHeight="1">
      <c r="A29" s="31" t="s">
        <v>49</v>
      </c>
      <c r="B29" s="31"/>
      <c r="C29" s="31"/>
      <c r="D29" s="31"/>
      <c r="E29" s="33">
        <f>E27+E23+E17+E11</f>
        <v>-1985.023</v>
      </c>
      <c r="G29" s="2"/>
      <c r="H29" s="13"/>
    </row>
    <row r="30" spans="1:8" s="1" customFormat="1" ht="12.75">
      <c r="A30" s="2"/>
      <c r="B30" s="2"/>
      <c r="C30" s="2"/>
      <c r="D30" s="2"/>
      <c r="E30" s="2"/>
      <c r="F30" s="2"/>
      <c r="G30" s="2"/>
      <c r="H30" s="13"/>
    </row>
    <row r="31" spans="1:8" s="1" customFormat="1" ht="12.75">
      <c r="A31" s="15" t="s">
        <v>50</v>
      </c>
      <c r="B31" s="2"/>
      <c r="C31" s="16">
        <f>8%-C25</f>
        <v>0</v>
      </c>
      <c r="D31" s="2"/>
      <c r="E31" s="18">
        <f>MAX(0,(C6+E11+E17+E23+C39+C40+C41))*C31</f>
        <v>0</v>
      </c>
      <c r="F31" s="2"/>
      <c r="G31" s="2"/>
      <c r="H31" s="13"/>
    </row>
    <row r="32" spans="1:8" s="1" customFormat="1" ht="12.75">
      <c r="A32" s="20" t="s">
        <v>51</v>
      </c>
      <c r="B32" s="2"/>
      <c r="C32" s="2"/>
      <c r="D32" s="2"/>
      <c r="E32" s="21">
        <v>60</v>
      </c>
      <c r="F32" s="2"/>
      <c r="G32" s="2"/>
      <c r="H32" s="13"/>
    </row>
    <row r="33" spans="1:8" s="1" customFormat="1" ht="12.75">
      <c r="A33" s="2"/>
      <c r="B33" s="15" t="s">
        <v>52</v>
      </c>
      <c r="C33" s="22" t="s">
        <v>53</v>
      </c>
      <c r="D33" s="23"/>
      <c r="E33" s="24">
        <f>E31-E32</f>
        <v>-60</v>
      </c>
      <c r="F33" s="2"/>
      <c r="G33" s="2"/>
      <c r="H33" s="13"/>
    </row>
    <row r="34" spans="1:8" s="1" customFormat="1" ht="12.75">
      <c r="A34" s="2"/>
      <c r="B34" s="2"/>
      <c r="C34" s="2"/>
      <c r="D34" s="2"/>
      <c r="E34" s="2"/>
      <c r="F34" s="2"/>
      <c r="G34" s="2"/>
      <c r="H34" s="13"/>
    </row>
    <row r="35" spans="1:7" s="1" customFormat="1" ht="12.75">
      <c r="A35" s="34" t="s">
        <v>54</v>
      </c>
      <c r="B35" s="23"/>
      <c r="C35" s="23"/>
      <c r="D35" s="32"/>
      <c r="E35" s="24">
        <f>C4-E11-E17-E23-E27-E33</f>
        <v>-31510.977000000003</v>
      </c>
      <c r="G35" s="2"/>
    </row>
    <row r="36" spans="1:7" s="1" customFormat="1" ht="12.75">
      <c r="A36" s="34" t="s">
        <v>55</v>
      </c>
      <c r="B36" s="23"/>
      <c r="C36" s="23"/>
      <c r="D36" s="32"/>
      <c r="E36" s="24">
        <f>E35-C2</f>
        <v>-31510.977000000003</v>
      </c>
      <c r="G36" s="2"/>
    </row>
    <row r="37" spans="1:7" s="1" customFormat="1" ht="12.75">
      <c r="A37" s="2"/>
      <c r="B37" s="2"/>
      <c r="C37" s="2"/>
      <c r="G37" s="2"/>
    </row>
    <row r="38" spans="1:7" s="1" customFormat="1" ht="12.75">
      <c r="A38" s="2"/>
      <c r="B38" s="35" t="s">
        <v>56</v>
      </c>
      <c r="C38" s="35" t="s">
        <v>57</v>
      </c>
      <c r="D38" s="35" t="s">
        <v>58</v>
      </c>
      <c r="E38" s="36" t="s">
        <v>59</v>
      </c>
      <c r="F38" s="36" t="s">
        <v>60</v>
      </c>
      <c r="G38" s="2"/>
    </row>
    <row r="39" spans="1:7" s="1" customFormat="1" ht="12.75">
      <c r="A39" s="2">
        <v>646100</v>
      </c>
      <c r="B39" s="6" t="s">
        <v>61</v>
      </c>
      <c r="C39" s="21">
        <f>E10</f>
        <v>111</v>
      </c>
      <c r="D39" s="37">
        <f>C39+E11</f>
        <v>0</v>
      </c>
      <c r="E39" s="37">
        <f>MAX(0,D39-C39)</f>
        <v>0</v>
      </c>
      <c r="F39" s="37">
        <f>-MIN(0,D39-C39)</f>
        <v>111</v>
      </c>
      <c r="G39" s="2"/>
    </row>
    <row r="40" spans="1:7" s="1" customFormat="1" ht="12.75">
      <c r="A40" s="2">
        <v>646500</v>
      </c>
      <c r="B40" s="6" t="s">
        <v>62</v>
      </c>
      <c r="C40" s="21">
        <f>E16</f>
        <v>996</v>
      </c>
      <c r="D40" s="37">
        <f>C40+E17</f>
        <v>831.9360000000001</v>
      </c>
      <c r="E40" s="37">
        <f>MAX(0,D40-C40)</f>
        <v>0</v>
      </c>
      <c r="F40" s="37">
        <f>-MIN(0,D40-C40)</f>
        <v>164.06399999999985</v>
      </c>
      <c r="G40" s="2"/>
    </row>
    <row r="41" spans="1:7" s="1" customFormat="1" ht="12.75">
      <c r="A41" s="2">
        <v>646300</v>
      </c>
      <c r="B41" s="6" t="s">
        <v>63</v>
      </c>
      <c r="C41" s="21">
        <f>C22</f>
        <v>2441</v>
      </c>
      <c r="D41" s="37">
        <f>C41+E23</f>
        <v>835.0409999999999</v>
      </c>
      <c r="E41" s="37">
        <f>MAX(0,D41-C41)</f>
        <v>0</v>
      </c>
      <c r="F41" s="37">
        <f>-MIN(0,D41-C41)</f>
        <v>1605.959</v>
      </c>
      <c r="G41" s="2"/>
    </row>
    <row r="42" spans="1:7" s="1" customFormat="1" ht="12.75">
      <c r="A42" s="2">
        <v>646000</v>
      </c>
      <c r="B42" s="6" t="s">
        <v>64</v>
      </c>
      <c r="C42" s="21">
        <f>C3</f>
        <v>0</v>
      </c>
      <c r="D42" s="37">
        <f>C42</f>
        <v>0</v>
      </c>
      <c r="E42" s="37">
        <f>MAX(0,D42-C42)</f>
        <v>0</v>
      </c>
      <c r="F42" s="37">
        <f>-MIN(0,D42-C42)</f>
        <v>0</v>
      </c>
      <c r="G42" s="2"/>
    </row>
    <row r="43" spans="1:7" s="1" customFormat="1" ht="12.75">
      <c r="A43" s="2"/>
      <c r="B43" s="8" t="s">
        <v>65</v>
      </c>
      <c r="C43" s="38">
        <f>SUM(C39:C42)</f>
        <v>3548</v>
      </c>
      <c r="D43" s="38">
        <f>SUM(D39:D42)</f>
        <v>1666.977</v>
      </c>
      <c r="E43" s="39"/>
      <c r="F43" s="39"/>
      <c r="G43" s="2"/>
    </row>
    <row r="44" spans="1:7" s="1" customFormat="1" ht="12.75">
      <c r="A44" s="2">
        <v>646500</v>
      </c>
      <c r="B44" s="6" t="s">
        <v>66</v>
      </c>
      <c r="C44" s="21">
        <f>E26</f>
        <v>104</v>
      </c>
      <c r="D44" s="37">
        <f>C44+E27</f>
        <v>0</v>
      </c>
      <c r="E44" s="37">
        <f>MAX(0,D44-C44)</f>
        <v>0</v>
      </c>
      <c r="F44" s="37">
        <f>-MIN(0,D44-C44)</f>
        <v>104</v>
      </c>
      <c r="G44" s="2"/>
    </row>
    <row r="45" spans="1:7" s="1" customFormat="1" ht="12.75">
      <c r="A45" s="2">
        <v>646501</v>
      </c>
      <c r="B45" s="6" t="s">
        <v>67</v>
      </c>
      <c r="C45" s="21">
        <f>E32</f>
        <v>60</v>
      </c>
      <c r="D45" s="37">
        <f>C45+E33</f>
        <v>0</v>
      </c>
      <c r="E45" s="37">
        <f>MAX(0,D45-C45)</f>
        <v>0</v>
      </c>
      <c r="F45" s="37">
        <f>-MIN(0,D45-C45)</f>
        <v>60</v>
      </c>
      <c r="G45" s="2"/>
    </row>
    <row r="46" spans="1:7" s="1" customFormat="1" ht="12.75">
      <c r="A46" s="2"/>
      <c r="B46" s="8" t="s">
        <v>68</v>
      </c>
      <c r="C46" s="8">
        <f>SUM(C43:C44)</f>
        <v>3652</v>
      </c>
      <c r="D46" s="40">
        <f>SUM(D43:D44)</f>
        <v>1666.977</v>
      </c>
      <c r="E46" s="39"/>
      <c r="F46" s="40">
        <f>SUM(F39:F44)</f>
        <v>1985.023</v>
      </c>
      <c r="G46" s="2"/>
    </row>
  </sheetData>
  <sheetProtection sheet="1" objects="1" scenarios="1"/>
  <mergeCells count="1">
    <mergeCell ref="A29:D29"/>
  </mergeCells>
  <printOptions horizontalCentered="1" verticalCentered="1"/>
  <pageMargins left="0.19652777777777777" right="0.23611111111111113" top="0.31527777777777777" bottom="0.1798611111111111" header="0.09861111111111112" footer="0.09861111111111112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l'ajustement anuel des charges de l'exploitant</dc:title>
  <dc:subject>Social</dc:subject>
  <dc:creator>.</dc:creator>
  <cp:keywords>Expert Compta . NET</cp:keywords>
  <dc:description/>
  <cp:lastModifiedBy>Xavier BALSEGUR</cp:lastModifiedBy>
  <cp:lastPrinted>2002-02-27T08:42:03Z</cp:lastPrinted>
  <dcterms:created xsi:type="dcterms:W3CDTF">2000-02-29T13:15:19Z</dcterms:created>
  <dcterms:modified xsi:type="dcterms:W3CDTF">2005-10-05T15:02:08Z</dcterms:modified>
  <cp:category/>
  <cp:version/>
  <cp:contentType/>
  <cp:contentStatus/>
  <cp:revision>21</cp:revision>
</cp:coreProperties>
</file>